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teză &amp; Ipoteze" sheetId="1" state="visible" r:id="rId1"/>
    <sheet xmlns:r="http://schemas.openxmlformats.org/officeDocument/2006/relationships" name="Venituri" sheetId="2" state="visible" r:id="rId2"/>
    <sheet xmlns:r="http://schemas.openxmlformats.org/officeDocument/2006/relationships" name="Cheltuieli OPEX" sheetId="3" state="visible" r:id="rId3"/>
    <sheet xmlns:r="http://schemas.openxmlformats.org/officeDocument/2006/relationships" name="Cont P&amp;L" sheetId="4" state="visible" r:id="rId4"/>
    <sheet xmlns:r="http://schemas.openxmlformats.org/officeDocument/2006/relationships" name="Cashflow &amp; Indicator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#,##0 &quot;EUR&quot;"/>
    <numFmt numFmtId="167" formatCode="0.0 &quot;Ani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color rgb="00334155"/>
      <sz val="11"/>
    </font>
    <font>
      <name val="Calibri"/>
      <b val="1"/>
      <color rgb="000F172A"/>
      <sz val="11"/>
    </font>
  </fonts>
  <fills count="6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047857"/>
        <bgColor rgb="00047857"/>
      </patternFill>
    </fill>
    <fill>
      <patternFill patternType="solid">
        <fgColor rgb="00ECFDF5"/>
        <bgColor rgb="00ECFDF5"/>
      </patternFill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4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164" fontId="5" fillId="0" borderId="1" pivotButton="0" quotePrefix="0" xfId="0"/>
    <xf numFmtId="0" fontId="4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3" fontId="4" fillId="0" borderId="1" pivotButton="0" quotePrefix="0" xfId="0"/>
    <xf numFmtId="0" fontId="5" fillId="0" borderId="0" pivotButton="0" quotePrefix="0" xfId="0"/>
    <xf numFmtId="3" fontId="5" fillId="4" borderId="2" pivotButton="0" quotePrefix="0" xfId="0"/>
    <xf numFmtId="3" fontId="0" fillId="0" borderId="1" pivotButton="0" quotePrefix="0" xfId="0"/>
    <xf numFmtId="0" fontId="3" fillId="5" borderId="0" pivotButton="0" quotePrefix="0" xfId="0"/>
    <xf numFmtId="166" fontId="5" fillId="0" borderId="1" pivotButton="0" quotePrefix="0" xfId="0"/>
    <xf numFmtId="167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1" workbookViewId="0">
      <selection activeCell="A1" sqref="A1"/>
    </sheetView>
  </sheetViews>
  <sheetFormatPr baseColWidth="8" defaultRowHeight="15"/>
  <cols>
    <col width="179" customWidth="1" min="1" max="1"/>
    <col width="14" customWidth="1" min="2" max="2"/>
    <col width="14" customWidth="1" min="3" max="3"/>
    <col width="61" customWidth="1" min="4" max="4"/>
    <col width="14" customWidth="1" min="5" max="5"/>
    <col width="14" customWidth="1" min="6" max="6"/>
  </cols>
  <sheetData>
    <row r="1" ht="35" customHeight="1">
      <c r="A1" s="1" t="inlineStr">
        <is>
          <t>INSTRUMENT FINANCIAR SUBVENȚII — CALCUL BUGET &amp; CASHFLOW FERMĂ AGRICOLĂ</t>
        </is>
      </c>
    </row>
    <row r="2">
      <c r="A2" s="2" t="inlineStr">
        <is>
          <t>Material de lucru orientativ elaborat de platforma SUBVENȚII (subventii.cristianvaduva.com). Nu este formular oficial AFIR și nu înlocuiește cerințele ghidului solicitantului.</t>
        </is>
      </c>
    </row>
    <row r="3"/>
    <row r="4">
      <c r="A4" s="3" t="inlineStr">
        <is>
          <t>Parametru Proiect</t>
        </is>
      </c>
      <c r="B4" s="3" t="inlineStr">
        <is>
          <t>Valoare</t>
        </is>
      </c>
      <c r="C4" s="3" t="inlineStr">
        <is>
          <t>Unitate</t>
        </is>
      </c>
      <c r="D4" s="3" t="inlineStr">
        <is>
          <t>Observații</t>
        </is>
      </c>
    </row>
    <row r="5">
      <c r="A5" s="4" t="inlineStr">
        <is>
          <t>Suprafață Totală Exploatație</t>
        </is>
      </c>
      <c r="B5" s="5" t="n">
        <v>65</v>
      </c>
      <c r="C5" s="4" t="inlineStr">
        <is>
          <t>Hectare</t>
        </is>
      </c>
      <c r="D5" s="4" t="inlineStr">
        <is>
          <t>Teren arabil în proprietate și arendă</t>
        </is>
      </c>
    </row>
    <row r="6">
      <c r="A6" s="4" t="inlineStr">
        <is>
          <t>Investiție Totală Necesară (CAPEX)</t>
        </is>
      </c>
      <c r="B6" s="6" t="n">
        <v>125000</v>
      </c>
      <c r="C6" s="4" t="inlineStr">
        <is>
          <t>EUR</t>
        </is>
      </c>
      <c r="D6" s="4" t="inlineStr">
        <is>
          <t>Achiziție utilaje, irigații, spații stocare</t>
        </is>
      </c>
    </row>
    <row r="7">
      <c r="A7" s="4" t="inlineStr">
        <is>
          <t>Plafon Grant Nerambursabil Solicitat</t>
        </is>
      </c>
      <c r="B7" s="6" t="n">
        <v>50000</v>
      </c>
      <c r="C7" s="4" t="inlineStr">
        <is>
          <t>EUR</t>
        </is>
      </c>
      <c r="D7" s="4" t="inlineStr">
        <is>
          <t>Sprijin public nerambursabil conform intervenție</t>
        </is>
      </c>
    </row>
    <row r="8">
      <c r="A8" s="4" t="inlineStr">
        <is>
          <t>Intensitate Sprijin Nerambursabil</t>
        </is>
      </c>
      <c r="B8" s="7" t="n">
        <v>0.85</v>
      </c>
      <c r="C8" s="4" t="inlineStr">
        <is>
          <t>%</t>
        </is>
      </c>
      <c r="D8" s="4" t="inlineStr">
        <is>
          <t>Procent sprijin public din cheltuieli eligibile</t>
        </is>
      </c>
    </row>
    <row r="9">
      <c r="A9" s="4" t="inlineStr">
        <is>
          <t>Contribuție Financiară Proprie</t>
        </is>
      </c>
      <c r="B9" s="6" t="n">
        <v>75000</v>
      </c>
      <c r="C9" s="4" t="inlineStr">
        <is>
          <t>EUR</t>
        </is>
      </c>
      <c r="D9" s="4" t="inlineStr">
        <is>
          <t>Cofinanțare din fonduri proprii sau credit bancar</t>
        </is>
      </c>
    </row>
    <row r="10">
      <c r="A10" s="4" t="inlineStr">
        <is>
          <t>Rată de Actualizare (Discount Rate)</t>
        </is>
      </c>
      <c r="B10" s="7" t="n">
        <v>0.08</v>
      </c>
      <c r="C10" s="4" t="inlineStr">
        <is>
          <t>%</t>
        </is>
      </c>
      <c r="D10" s="4" t="inlineStr">
        <is>
          <t>Rata standard de actualizare financiară pentru calcul VAN</t>
        </is>
      </c>
    </row>
    <row r="11">
      <c r="A11" s="4" t="inlineStr">
        <is>
          <t>Orizont de Prognoză</t>
        </is>
      </c>
      <c r="B11" s="5" t="n">
        <v>5</v>
      </c>
      <c r="C11" s="4" t="inlineStr">
        <is>
          <t>Ani</t>
        </is>
      </c>
      <c r="D11" s="4" t="inlineStr">
        <is>
          <t>Perioada standard de monitorizare a proiectului</t>
        </is>
      </c>
    </row>
    <row r="12">
      <c r="A12" s="4" t="inlineStr">
        <is>
          <t>Curs de Schimb Valutar Estimativ</t>
        </is>
      </c>
      <c r="B12" s="5" t="n">
        <v>5</v>
      </c>
      <c r="C12" s="4" t="inlineStr">
        <is>
          <t>RON/EUR</t>
        </is>
      </c>
      <c r="D12" s="4" t="inlineStr">
        <is>
          <t>Curs orientativ utilizat în planificare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18" customWidth="1" min="2" max="2"/>
    <col width="20" customWidth="1" min="3" max="3"/>
    <col width="16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0" customHeight="1">
      <c r="A1" s="1" t="inlineStr">
        <is>
          <t>PROIECȚIA VENITURILOR DIN PRODUCȚIA VEGETALĂ &amp; SUBVENȚII (EUR/AN)</t>
        </is>
      </c>
    </row>
    <row r="2"/>
    <row r="3">
      <c r="A3" s="3" t="inlineStr">
        <is>
          <t>Categorie Venit / Cultură</t>
        </is>
      </c>
      <c r="B3" s="3" t="inlineStr">
        <is>
          <t>Suprafață (ha)</t>
        </is>
      </c>
      <c r="C3" s="3" t="inlineStr">
        <is>
          <t>Randament (t/ha)</t>
        </is>
      </c>
      <c r="D3" s="3" t="inlineStr">
        <is>
          <t>Preț (EUR/t)</t>
        </is>
      </c>
      <c r="E3" s="3" t="inlineStr">
        <is>
          <t>An 1</t>
        </is>
      </c>
      <c r="F3" s="3" t="inlineStr">
        <is>
          <t>An 2</t>
        </is>
      </c>
      <c r="G3" s="3" t="inlineStr">
        <is>
          <t>An 3</t>
        </is>
      </c>
      <c r="H3" s="3" t="inlineStr">
        <is>
          <t>An 4</t>
        </is>
      </c>
      <c r="I3" s="3" t="inlineStr">
        <is>
          <t>An 5</t>
        </is>
      </c>
    </row>
    <row r="4">
      <c r="A4" s="8" t="inlineStr">
        <is>
          <t>Grâu Comun de Toamnă</t>
        </is>
      </c>
      <c r="B4" s="9" t="n">
        <v>25</v>
      </c>
      <c r="C4" s="10" t="n">
        <v>5.5</v>
      </c>
      <c r="D4" s="9" t="n">
        <v>190</v>
      </c>
      <c r="E4" s="11">
        <f>B4*C4*D4*(1+0.00)</f>
        <v/>
      </c>
      <c r="F4" s="11">
        <f>B4*C4*D4*(1+0.02)</f>
        <v/>
      </c>
      <c r="G4" s="11">
        <f>B4*C4*D4*(1+0.04)</f>
        <v/>
      </c>
      <c r="H4" s="11">
        <f>B4*C4*D4*(1+0.06)</f>
        <v/>
      </c>
      <c r="I4" s="11">
        <f>B4*C4*D4*(1+0.08)</f>
        <v/>
      </c>
    </row>
    <row r="5">
      <c r="A5" s="8" t="inlineStr">
        <is>
          <t>Porumb Boabe</t>
        </is>
      </c>
      <c r="B5" s="9" t="n">
        <v>20</v>
      </c>
      <c r="C5" s="10" t="n">
        <v>7.2</v>
      </c>
      <c r="D5" s="9" t="n">
        <v>175</v>
      </c>
      <c r="E5" s="11">
        <f>B5*C5*D5*(1+0.00)</f>
        <v/>
      </c>
      <c r="F5" s="11">
        <f>B5*C5*D5*(1+0.02)</f>
        <v/>
      </c>
      <c r="G5" s="11">
        <f>B5*C5*D5*(1+0.04)</f>
        <v/>
      </c>
      <c r="H5" s="11">
        <f>B5*C5*D5*(1+0.06)</f>
        <v/>
      </c>
      <c r="I5" s="11">
        <f>B5*C5*D5*(1+0.08)</f>
        <v/>
      </c>
    </row>
    <row r="6">
      <c r="A6" s="8" t="inlineStr">
        <is>
          <t>Floarea-Soarelui</t>
        </is>
      </c>
      <c r="B6" s="9" t="n">
        <v>12</v>
      </c>
      <c r="C6" s="10" t="n">
        <v>2.8</v>
      </c>
      <c r="D6" s="9" t="n">
        <v>410</v>
      </c>
      <c r="E6" s="11">
        <f>B6*C6*D6*(1+0.00)</f>
        <v/>
      </c>
      <c r="F6" s="11">
        <f>B6*C6*D6*(1+0.02)</f>
        <v/>
      </c>
      <c r="G6" s="11">
        <f>B6*C6*D6*(1+0.04)</f>
        <v/>
      </c>
      <c r="H6" s="11">
        <f>B6*C6*D6*(1+0.06)</f>
        <v/>
      </c>
      <c r="I6" s="11">
        <f>B6*C6*D6*(1+0.08)</f>
        <v/>
      </c>
    </row>
    <row r="7">
      <c r="A7" s="8" t="inlineStr">
        <is>
          <t>Soia Boabe (Proteină Vegetală)</t>
        </is>
      </c>
      <c r="B7" s="9" t="n">
        <v>8</v>
      </c>
      <c r="C7" s="10" t="n">
        <v>2.4</v>
      </c>
      <c r="D7" s="9" t="n">
        <v>430</v>
      </c>
      <c r="E7" s="11">
        <f>B7*C7*D7*(1+0.00)</f>
        <v/>
      </c>
      <c r="F7" s="11">
        <f>B7*C7*D7*(1+0.02)</f>
        <v/>
      </c>
      <c r="G7" s="11">
        <f>B7*C7*D7*(1+0.04)</f>
        <v/>
      </c>
      <c r="H7" s="11">
        <f>B7*C7*D7*(1+0.06)</f>
        <v/>
      </c>
      <c r="I7" s="11">
        <f>B7*C7*D7*(1+0.08)</f>
        <v/>
      </c>
    </row>
    <row r="8">
      <c r="A8" s="12" t="inlineStr">
        <is>
          <t>Subvenții APIA Directe (BISS + CRISS + Eco-Scheme)</t>
        </is>
      </c>
      <c r="B8" s="9" t="n">
        <v>65</v>
      </c>
      <c r="C8" s="9" t="n">
        <v>1</v>
      </c>
      <c r="D8" s="9" t="n">
        <v>220</v>
      </c>
      <c r="E8" s="6">
        <f>B8*D8</f>
        <v/>
      </c>
      <c r="F8" s="6">
        <f>B8*D8</f>
        <v/>
      </c>
      <c r="G8" s="6">
        <f>B8*D8</f>
        <v/>
      </c>
      <c r="H8" s="6">
        <f>B8*D8</f>
        <v/>
      </c>
      <c r="I8" s="6">
        <f>B8*D8</f>
        <v/>
      </c>
    </row>
    <row r="9"/>
    <row r="10">
      <c r="A10" s="12" t="inlineStr">
        <is>
          <t>TOTAL VENITURI OPERAȚIONALE (EUR)</t>
        </is>
      </c>
      <c r="E10" s="13">
        <f>SUM(E4:E8)</f>
        <v/>
      </c>
      <c r="F10" s="13">
        <f>SUM(F4:F8)</f>
        <v/>
      </c>
      <c r="G10" s="13">
        <f>SUM(G4:G8)</f>
        <v/>
      </c>
      <c r="H10" s="13">
        <f>SUM(H4:H8)</f>
        <v/>
      </c>
      <c r="I10" s="13">
        <f>SUM(I4:I8)</f>
        <v/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>
      <c r="A1" s="1" t="inlineStr">
        <is>
          <t>CHELTUIELI DE EXPLOATARE &amp; OPERARE (OPEX EUR/AN)</t>
        </is>
      </c>
    </row>
    <row r="2"/>
    <row r="3">
      <c r="A3" s="3" t="inlineStr">
        <is>
          <t>Articol de Cheltuială</t>
        </is>
      </c>
      <c r="B3" s="3" t="inlineStr">
        <is>
          <t>An 1</t>
        </is>
      </c>
      <c r="C3" s="3" t="inlineStr">
        <is>
          <t>An 2</t>
        </is>
      </c>
      <c r="D3" s="3" t="inlineStr">
        <is>
          <t>An 3</t>
        </is>
      </c>
      <c r="E3" s="3" t="inlineStr">
        <is>
          <t>An 4</t>
        </is>
      </c>
      <c r="F3" s="3" t="inlineStr">
        <is>
          <t>An 5</t>
        </is>
      </c>
    </row>
    <row r="4">
      <c r="A4" s="8" t="inlineStr">
        <is>
          <t>Semințe certificate și material săditor</t>
        </is>
      </c>
      <c r="B4" s="11">
        <f>6500*(1+0.00)</f>
        <v/>
      </c>
      <c r="C4" s="11">
        <f>6500*(1+0.03)</f>
        <v/>
      </c>
      <c r="D4" s="11">
        <f>6500*(1+0.06)</f>
        <v/>
      </c>
      <c r="E4" s="11">
        <f>6500*(1+0.09)</f>
        <v/>
      </c>
      <c r="F4" s="11">
        <f>6500*(1+0.12)</f>
        <v/>
      </c>
    </row>
    <row r="5">
      <c r="A5" s="8" t="inlineStr">
        <is>
          <t>Îngrășăminte chimice și amendamente sol</t>
        </is>
      </c>
      <c r="B5" s="11">
        <f>11500*(1+0.00)</f>
        <v/>
      </c>
      <c r="C5" s="11">
        <f>11500*(1+0.03)</f>
        <v/>
      </c>
      <c r="D5" s="11">
        <f>11500*(1+0.06)</f>
        <v/>
      </c>
      <c r="E5" s="11">
        <f>11500*(1+0.09)</f>
        <v/>
      </c>
      <c r="F5" s="11">
        <f>11500*(1+0.12)</f>
        <v/>
      </c>
    </row>
    <row r="6">
      <c r="A6" s="8" t="inlineStr">
        <is>
          <t>Produse de protecția plantelor (fitosanitare)</t>
        </is>
      </c>
      <c r="B6" s="11">
        <f>7200*(1+0.00)</f>
        <v/>
      </c>
      <c r="C6" s="11">
        <f>7200*(1+0.03)</f>
        <v/>
      </c>
      <c r="D6" s="11">
        <f>7200*(1+0.06)</f>
        <v/>
      </c>
      <c r="E6" s="11">
        <f>7200*(1+0.09)</f>
        <v/>
      </c>
      <c r="F6" s="11">
        <f>7200*(1+0.12)</f>
        <v/>
      </c>
    </row>
    <row r="7">
      <c r="A7" s="8" t="inlineStr">
        <is>
          <t>Combustibil și lubrifianți (Motorină agricolă)</t>
        </is>
      </c>
      <c r="B7" s="11">
        <f>8800*(1+0.00)</f>
        <v/>
      </c>
      <c r="C7" s="11">
        <f>8800*(1+0.03)</f>
        <v/>
      </c>
      <c r="D7" s="11">
        <f>8800*(1+0.06)</f>
        <v/>
      </c>
      <c r="E7" s="11">
        <f>8800*(1+0.09)</f>
        <v/>
      </c>
      <c r="F7" s="11">
        <f>8800*(1+0.12)</f>
        <v/>
      </c>
    </row>
    <row r="8">
      <c r="A8" s="8" t="inlineStr">
        <is>
          <t>Servicii mecanizate externe &amp; piese de schimb</t>
        </is>
      </c>
      <c r="B8" s="11">
        <f>3500*(1+0.00)</f>
        <v/>
      </c>
      <c r="C8" s="11">
        <f>3500*(1+0.03)</f>
        <v/>
      </c>
      <c r="D8" s="11">
        <f>3500*(1+0.06)</f>
        <v/>
      </c>
      <c r="E8" s="11">
        <f>3500*(1+0.09)</f>
        <v/>
      </c>
      <c r="F8" s="11">
        <f>3500*(1+0.12)</f>
        <v/>
      </c>
    </row>
    <row r="9">
      <c r="A9" s="8" t="inlineStr">
        <is>
          <t>Arendă teren agricol (40 ha arendă)</t>
        </is>
      </c>
      <c r="B9" s="11">
        <f>7200*(1+0.00)</f>
        <v/>
      </c>
      <c r="C9" s="11">
        <f>7200*(1+0.03)</f>
        <v/>
      </c>
      <c r="D9" s="11">
        <f>7200*(1+0.06)</f>
        <v/>
      </c>
      <c r="E9" s="11">
        <f>7200*(1+0.09)</f>
        <v/>
      </c>
      <c r="F9" s="11">
        <f>7200*(1+0.12)</f>
        <v/>
      </c>
    </row>
    <row r="10">
      <c r="A10" s="8" t="inlineStr">
        <is>
          <t>Forță de muncă &amp; contribuții sociale</t>
        </is>
      </c>
      <c r="B10" s="11">
        <f>9600*(1+0.00)</f>
        <v/>
      </c>
      <c r="C10" s="11">
        <f>9600*(1+0.03)</f>
        <v/>
      </c>
      <c r="D10" s="11">
        <f>9600*(1+0.06)</f>
        <v/>
      </c>
      <c r="E10" s="11">
        <f>9600*(1+0.09)</f>
        <v/>
      </c>
      <c r="F10" s="11">
        <f>9600*(1+0.12)</f>
        <v/>
      </c>
    </row>
    <row r="11">
      <c r="A11" s="8" t="inlineStr">
        <is>
          <t>Asigurări culturi agricole (subvenționate)</t>
        </is>
      </c>
      <c r="B11" s="11">
        <f>1800*(1+0.00)</f>
        <v/>
      </c>
      <c r="C11" s="11">
        <f>1800*(1+0.03)</f>
        <v/>
      </c>
      <c r="D11" s="11">
        <f>1800*(1+0.06)</f>
        <v/>
      </c>
      <c r="E11" s="11">
        <f>1800*(1+0.09)</f>
        <v/>
      </c>
      <c r="F11" s="11">
        <f>1800*(1+0.12)</f>
        <v/>
      </c>
    </row>
    <row r="12">
      <c r="A12" s="8" t="inlineStr">
        <is>
          <t>Utilități, contabilitate, taxe locale</t>
        </is>
      </c>
      <c r="B12" s="11">
        <f>2400*(1+0.00)</f>
        <v/>
      </c>
      <c r="C12" s="11">
        <f>2400*(1+0.03)</f>
        <v/>
      </c>
      <c r="D12" s="11">
        <f>2400*(1+0.06)</f>
        <v/>
      </c>
      <c r="E12" s="11">
        <f>2400*(1+0.09)</f>
        <v/>
      </c>
      <c r="F12" s="11">
        <f>2400*(1+0.12)</f>
        <v/>
      </c>
    </row>
    <row r="13"/>
    <row r="14">
      <c r="A14" s="12" t="inlineStr">
        <is>
          <t>TOTAL CHELTUIELI DE OPERARE (EUR)</t>
        </is>
      </c>
      <c r="B14" s="13">
        <f>SUM(B4:B12)</f>
        <v/>
      </c>
      <c r="C14" s="13">
        <f>SUM(C4:C12)</f>
        <v/>
      </c>
      <c r="D14" s="13">
        <f>SUM(D4:D12)</f>
        <v/>
      </c>
      <c r="E14" s="13">
        <f>SUM(E4:E12)</f>
        <v/>
      </c>
      <c r="F14" s="13">
        <f>SUM(F4:F12)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47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CONTUL DE PROFIT ȘI PIERDERE (EUR/AN)</t>
        </is>
      </c>
    </row>
    <row r="2"/>
    <row r="3">
      <c r="A3" s="3" t="inlineStr">
        <is>
          <t>Indicator Financiar</t>
        </is>
      </c>
      <c r="B3" s="3" t="inlineStr">
        <is>
          <t>An 1</t>
        </is>
      </c>
      <c r="C3" s="3" t="inlineStr">
        <is>
          <t>An 2</t>
        </is>
      </c>
      <c r="D3" s="3" t="inlineStr">
        <is>
          <t>An 3</t>
        </is>
      </c>
      <c r="E3" s="3" t="inlineStr">
        <is>
          <t>An 4</t>
        </is>
      </c>
      <c r="F3" s="3" t="inlineStr">
        <is>
          <t>An 5</t>
        </is>
      </c>
    </row>
    <row r="4">
      <c r="A4" s="8" t="inlineStr">
        <is>
          <t>Venituri Totale din Exploatare</t>
        </is>
      </c>
      <c r="B4" s="14">
        <f>Venituri!E10</f>
        <v/>
      </c>
      <c r="C4" s="14">
        <f>Venituri!F10</f>
        <v/>
      </c>
      <c r="D4" s="14">
        <f>Venituri!G10</f>
        <v/>
      </c>
      <c r="E4" s="14">
        <f>Venituri!H10</f>
        <v/>
      </c>
      <c r="F4" s="14">
        <f>Venituri!I10</f>
        <v/>
      </c>
    </row>
    <row r="5">
      <c r="A5" s="8" t="inlineStr">
        <is>
          <t>Cheltuieli Operaționale (OPEX)</t>
        </is>
      </c>
      <c r="B5" s="14">
        <f>'Cheltuieli OPEX'!B14</f>
        <v/>
      </c>
      <c r="C5" s="14">
        <f>'Cheltuieli OPEX'!C14</f>
        <v/>
      </c>
      <c r="D5" s="14">
        <f>'Cheltuieli OPEX'!D14</f>
        <v/>
      </c>
      <c r="E5" s="14">
        <f>'Cheltuieli OPEX'!E14</f>
        <v/>
      </c>
      <c r="F5" s="14">
        <f>'Cheltuieli OPEX'!F14</f>
        <v/>
      </c>
    </row>
    <row r="6">
      <c r="A6" s="12" t="inlineStr">
        <is>
          <t>EBITDA (Profit Operațional Brut)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</row>
    <row r="7">
      <c r="A7" s="8" t="inlineStr">
        <is>
          <t>Amortizarea Imobilizărilor (CAPEX / 10 ani)</t>
        </is>
      </c>
      <c r="B7" s="14">
        <f>12500</f>
        <v/>
      </c>
      <c r="C7" s="14">
        <f>12500</f>
        <v/>
      </c>
      <c r="D7" s="14">
        <f>12500</f>
        <v/>
      </c>
      <c r="E7" s="14">
        <f>12500</f>
        <v/>
      </c>
      <c r="F7" s="14">
        <f>12500</f>
        <v/>
      </c>
    </row>
    <row r="8">
      <c r="A8" s="8" t="inlineStr">
        <is>
          <t>EBIT (Profit Operațional Net)</t>
        </is>
      </c>
      <c r="B8" s="14">
        <f>B6-B7</f>
        <v/>
      </c>
      <c r="C8" s="14">
        <f>C6-C7</f>
        <v/>
      </c>
      <c r="D8" s="14">
        <f>D6-D7</f>
        <v/>
      </c>
      <c r="E8" s="14">
        <f>E6-E7</f>
        <v/>
      </c>
      <c r="F8" s="14">
        <f>F6-F7</f>
        <v/>
      </c>
    </row>
    <row r="9">
      <c r="A9" s="8" t="inlineStr">
        <is>
          <t>Impozit pe Venit Microîntreprindere (1%)</t>
        </is>
      </c>
      <c r="B9" s="14">
        <f>B4*0.01</f>
        <v/>
      </c>
      <c r="C9" s="14">
        <f>C4*0.01</f>
        <v/>
      </c>
      <c r="D9" s="14">
        <f>D4*0.01</f>
        <v/>
      </c>
      <c r="E9" s="14">
        <f>E4*0.01</f>
        <v/>
      </c>
      <c r="F9" s="14">
        <f>F4*0.01</f>
        <v/>
      </c>
    </row>
    <row r="10">
      <c r="A10" s="12" t="inlineStr">
        <is>
          <t>PROFIT NET ANUAL (EUR)</t>
        </is>
      </c>
      <c r="B10" s="13">
        <f>B8-B9</f>
        <v/>
      </c>
      <c r="C10" s="13">
        <f>C8-C9</f>
        <v/>
      </c>
      <c r="D10" s="13">
        <f>D8-D9</f>
        <v/>
      </c>
      <c r="E10" s="13">
        <f>E8-E9</f>
        <v/>
      </c>
      <c r="F10" s="13">
        <f>F8-F9</f>
        <v/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1" workbookViewId="0">
      <selection activeCell="A1" sqref="A1"/>
    </sheetView>
  </sheetViews>
  <sheetFormatPr baseColWidth="8" defaultRowHeight="15"/>
  <cols>
    <col width="62" customWidth="1" min="1" max="1"/>
    <col width="33" customWidth="1" min="2" max="2"/>
    <col width="69" customWidth="1" min="3" max="3"/>
    <col width="32" customWidth="1" min="4" max="4"/>
    <col width="32" customWidth="1" min="5" max="5"/>
    <col width="32" customWidth="1" min="6" max="6"/>
    <col width="32" customWidth="1" min="7" max="7"/>
  </cols>
  <sheetData>
    <row r="1">
      <c r="A1" s="1" t="inlineStr">
        <is>
          <t>FLUXUL DE NUMERAR (CASHFLOW) &amp; INDICATORI DE RENTABILITATE</t>
        </is>
      </c>
    </row>
    <row r="2"/>
    <row r="3">
      <c r="A3" s="3" t="inlineStr">
        <is>
          <t>Element Cashflow</t>
        </is>
      </c>
      <c r="B3" s="3" t="inlineStr">
        <is>
          <t>An 0 (Investiție)</t>
        </is>
      </c>
      <c r="C3" s="3" t="inlineStr">
        <is>
          <t>An 1</t>
        </is>
      </c>
      <c r="D3" s="3" t="inlineStr">
        <is>
          <t>An 2</t>
        </is>
      </c>
      <c r="E3" s="3" t="inlineStr">
        <is>
          <t>An 3</t>
        </is>
      </c>
      <c r="F3" s="3" t="inlineStr">
        <is>
          <t>An 4</t>
        </is>
      </c>
      <c r="G3" s="3" t="inlineStr">
        <is>
          <t>An 5</t>
        </is>
      </c>
    </row>
    <row r="4">
      <c r="A4" s="12" t="inlineStr">
        <is>
          <t>Investiție Inițială Totală (CAPEX Outflow)</t>
        </is>
      </c>
      <c r="B4" s="9" t="n">
        <v>-125000</v>
      </c>
      <c r="C4" s="9" t="n">
        <v>0</v>
      </c>
      <c r="D4" s="9" t="n">
        <v>0</v>
      </c>
      <c r="E4" s="9" t="n">
        <v>0</v>
      </c>
      <c r="F4" s="9" t="n">
        <v>0</v>
      </c>
      <c r="G4" s="9" t="n">
        <v>0</v>
      </c>
    </row>
    <row r="5">
      <c r="A5" s="12" t="inlineStr">
        <is>
          <t>Grant Nerambursabil Încasat (Grant Inflow)</t>
        </is>
      </c>
      <c r="B5" s="9" t="n">
        <v>50000</v>
      </c>
      <c r="C5" s="9" t="n">
        <v>0</v>
      </c>
      <c r="D5" s="9" t="n">
        <v>0</v>
      </c>
      <c r="E5" s="9" t="n">
        <v>0</v>
      </c>
      <c r="F5" s="9" t="n">
        <v>0</v>
      </c>
      <c r="G5" s="9" t="n">
        <v>0</v>
      </c>
    </row>
    <row r="6">
      <c r="A6" s="8" t="inlineStr">
        <is>
          <t>Flux Net din Exploatare (EBITDA - Impozit)</t>
        </is>
      </c>
      <c r="B6" s="9" t="n">
        <v>0</v>
      </c>
      <c r="C6" s="9">
        <f>'Cont P&amp;L'!B6-'Cont P&amp;L'!B9</f>
        <v/>
      </c>
      <c r="D6" s="9">
        <f>'Cont P&amp;L'!C6-'Cont P&amp;L'!C9</f>
        <v/>
      </c>
      <c r="E6" s="9">
        <f>'Cont P&amp;L'!D6-'Cont P&amp;L'!D9</f>
        <v/>
      </c>
      <c r="F6" s="9">
        <f>'Cont P&amp;L'!E6-'Cont P&amp;L'!E9</f>
        <v/>
      </c>
      <c r="G6" s="9">
        <f>'Cont P&amp;L'!F6-'Cont P&amp;L'!F9</f>
        <v/>
      </c>
    </row>
    <row r="7">
      <c r="A7" s="12" t="inlineStr">
        <is>
          <t>FLUX NET DE NUMERAR TOTAL (NET CASHFLOW)</t>
        </is>
      </c>
      <c r="B7" s="13">
        <f>SUM(B4:B6)</f>
        <v/>
      </c>
      <c r="C7" s="13">
        <f>SUM(C4:C6)</f>
        <v/>
      </c>
      <c r="D7" s="13">
        <f>SUM(D4:D6)</f>
        <v/>
      </c>
      <c r="E7" s="13">
        <f>SUM(E4:E6)</f>
        <v/>
      </c>
      <c r="F7" s="13">
        <f>SUM(F4:F6)</f>
        <v/>
      </c>
      <c r="G7" s="13">
        <f>SUM(G4:G6)</f>
        <v/>
      </c>
    </row>
    <row r="8">
      <c r="A8" s="12" t="inlineStr">
        <is>
          <t>Sold Cumulat de Trezorerie (Cash Balance)</t>
        </is>
      </c>
      <c r="B8" s="9">
        <f>B7</f>
        <v/>
      </c>
      <c r="C8" s="6">
        <f>B8+C7</f>
        <v/>
      </c>
      <c r="D8" s="6">
        <f>C8+D7</f>
        <v/>
      </c>
      <c r="E8" s="6">
        <f>D8+E7</f>
        <v/>
      </c>
      <c r="F8" s="6">
        <f>E8+F7</f>
        <v/>
      </c>
      <c r="G8" s="6">
        <f>F8+G7</f>
        <v/>
      </c>
    </row>
    <row r="9"/>
    <row r="10"/>
    <row r="11">
      <c r="A11" s="15" t="inlineStr">
        <is>
          <t>INDICATOR FINANCIAR</t>
        </is>
      </c>
      <c r="B11" s="15" t="inlineStr">
        <is>
          <t>VALOARE CALCULATĂ</t>
        </is>
      </c>
      <c r="C11" s="15" t="inlineStr">
        <is>
          <t>INTERPRETARE ECONOMICĂ</t>
        </is>
      </c>
    </row>
    <row r="12">
      <c r="A12" s="5" t="inlineStr">
        <is>
          <t>Valoarea Actualizată Netă (VAN / NPV la 8%)</t>
        </is>
      </c>
      <c r="B12" s="16">
        <f>B7+NPV(0.08, C7:G7)</f>
        <v/>
      </c>
      <c r="C12" s="4" t="inlineStr">
        <is>
          <t>Proiectul este viabil și generează valoare adăugată (VAN &gt; 0)</t>
        </is>
      </c>
    </row>
    <row r="13">
      <c r="A13" s="5" t="inlineStr">
        <is>
          <t>Rata Internă de Rentabilitate (RIR / IRR)</t>
        </is>
      </c>
      <c r="B13" s="7">
        <f>IRR(B7:G7)</f>
        <v/>
      </c>
      <c r="C13" s="4" t="inlineStr">
        <is>
          <t>Rentabilitatea anuală a capitalului propriu investit</t>
        </is>
      </c>
    </row>
    <row r="14">
      <c r="A14" s="5" t="inlineStr">
        <is>
          <t>Perioada de Recuperare a Investiției (Payback)</t>
        </is>
      </c>
      <c r="B14" s="17" t="n">
        <v>2.8</v>
      </c>
      <c r="C14" s="4" t="inlineStr">
        <is>
          <t>Timpul estimat de recuperare a contribuției proprii din profituri</t>
        </is>
      </c>
    </row>
    <row r="15">
      <c r="A15" s="5" t="inlineStr">
        <is>
          <t>Rentabilitatea Comercială (Marja Netă An 3)</t>
        </is>
      </c>
      <c r="B15" s="7">
        <f>'Cont P&amp;L'!D10/'Cont P&amp;L'!D4</f>
        <v/>
      </c>
      <c r="C15" s="4" t="inlineStr">
        <is>
          <t>Ponderea profitului net în totalul veniturilor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2026-09-13T20:10:19Z</dcterms:created>
  <dcterms:modified xmlns:dcterms="http://purl.org/dc/terms/" xmlns:xsi="http://www.w3.org/2001/XMLSchema-instance" xsi:type="dcterms:W3CDTF">2026-09-13T20:10:19Z</dcterms:modified>
</cp:coreProperties>
</file>